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P:\OD\DMMO\SMARM\SMARM 2020\saltwater acclimation\ammonia sulfides calculator worksheets\"/>
    </mc:Choice>
  </mc:AlternateContent>
  <xr:revisionPtr revIDLastSave="0" documentId="13_ncr:1_{245D1BD2-C9D7-4608-824F-99512EE4E774}" xr6:coauthVersionLast="45" xr6:coauthVersionMax="45" xr10:uidLastSave="{00000000-0000-0000-0000-000000000000}"/>
  <bookViews>
    <workbookView xWindow="28680" yWindow="-120" windowWidth="29040" windowHeight="15840" xr2:uid="{738C1459-4335-4DCE-A302-3693E5C137C3}"/>
  </bookViews>
  <sheets>
    <sheet name="Calculator" sheetId="1" r:id="rId1"/>
    <sheet name="Notes and References" sheetId="2" r:id="rId2"/>
  </sheets>
  <definedNames>
    <definedName name="_Hlk51174782" localSheetId="1">'Notes and References'!$A$29</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 i="1" l="1"/>
  <c r="M4" i="1" s="1"/>
  <c r="K4" i="1"/>
  <c r="J5" i="1"/>
  <c r="J4" i="1"/>
  <c r="J6" i="1"/>
  <c r="J7" i="1"/>
  <c r="J8" i="1"/>
  <c r="J9" i="1"/>
  <c r="J10" i="1"/>
  <c r="J11" i="1"/>
  <c r="J12" i="1"/>
  <c r="J13" i="1"/>
  <c r="J14" i="1"/>
  <c r="J15" i="1"/>
  <c r="M5" i="1"/>
  <c r="M6" i="1"/>
  <c r="M7" i="1"/>
  <c r="M8" i="1"/>
  <c r="M9" i="1"/>
  <c r="M10" i="1"/>
  <c r="M11" i="1"/>
  <c r="M12" i="1"/>
  <c r="M13" i="1"/>
  <c r="M14" i="1"/>
  <c r="M15" i="1"/>
  <c r="L5" i="1"/>
  <c r="L6" i="1"/>
  <c r="L7" i="1"/>
  <c r="L8" i="1"/>
  <c r="L9" i="1"/>
  <c r="L10" i="1"/>
  <c r="L11" i="1"/>
  <c r="L12" i="1"/>
  <c r="L13" i="1"/>
  <c r="L14" i="1"/>
  <c r="L15" i="1"/>
  <c r="K5" i="1"/>
  <c r="K6" i="1"/>
  <c r="K7" i="1"/>
  <c r="K8" i="1"/>
  <c r="K9" i="1"/>
  <c r="K10" i="1"/>
  <c r="K11" i="1"/>
  <c r="K12" i="1"/>
  <c r="K13" i="1"/>
  <c r="K14" i="1"/>
  <c r="K15" i="1"/>
  <c r="I5" i="1"/>
  <c r="I6" i="1"/>
  <c r="I7" i="1"/>
  <c r="I8" i="1"/>
  <c r="I9" i="1"/>
  <c r="I10" i="1"/>
  <c r="I11" i="1"/>
  <c r="I12" i="1"/>
  <c r="I13" i="1"/>
  <c r="I14" i="1"/>
  <c r="I15" i="1"/>
  <c r="I4" i="1" l="1"/>
</calcChain>
</file>

<file path=xl/sharedStrings.xml><?xml version="1.0" encoding="utf-8"?>
<sst xmlns="http://schemas.openxmlformats.org/spreadsheetml/2006/main" count="49" uniqueCount="49">
  <si>
    <t>Sample</t>
  </si>
  <si>
    <t>Overlying/   Porewater</t>
  </si>
  <si>
    <t>Temp (K)</t>
  </si>
  <si>
    <r>
      <t>NH</t>
    </r>
    <r>
      <rPr>
        <b/>
        <i/>
        <vertAlign val="subscript"/>
        <sz val="10"/>
        <rFont val="Calibri"/>
        <family val="2"/>
        <scheme val="minor"/>
      </rPr>
      <t>3</t>
    </r>
    <r>
      <rPr>
        <b/>
        <i/>
        <sz val="10"/>
        <rFont val="Calibri"/>
        <family val="2"/>
        <scheme val="minor"/>
      </rPr>
      <t xml:space="preserve"> pKa</t>
    </r>
    <r>
      <rPr>
        <b/>
        <i/>
        <vertAlign val="superscript"/>
        <sz val="10"/>
        <rFont val="Calibri"/>
        <family val="2"/>
        <scheme val="minor"/>
      </rPr>
      <t>s</t>
    </r>
  </si>
  <si>
    <r>
      <t>H</t>
    </r>
    <r>
      <rPr>
        <b/>
        <i/>
        <vertAlign val="subscript"/>
        <sz val="10"/>
        <rFont val="Calibri"/>
        <family val="2"/>
        <scheme val="minor"/>
      </rPr>
      <t>2</t>
    </r>
    <r>
      <rPr>
        <b/>
        <i/>
        <sz val="10"/>
        <rFont val="Calibri"/>
        <family val="2"/>
        <scheme val="minor"/>
      </rPr>
      <t>S pKa</t>
    </r>
    <r>
      <rPr>
        <b/>
        <sz val="10"/>
        <rFont val="Calibri"/>
        <family val="2"/>
      </rPr>
      <t>*</t>
    </r>
  </si>
  <si>
    <r>
      <t>Hydrogen Sulfide
(</t>
    </r>
    <r>
      <rPr>
        <b/>
        <sz val="10"/>
        <rFont val="Calibri"/>
        <family val="2"/>
      </rPr>
      <t>µ</t>
    </r>
    <r>
      <rPr>
        <b/>
        <i/>
        <sz val="10"/>
        <rFont val="Calibri"/>
        <family val="2"/>
      </rPr>
      <t>g/L as H</t>
    </r>
    <r>
      <rPr>
        <b/>
        <i/>
        <vertAlign val="subscript"/>
        <sz val="10"/>
        <rFont val="Calibri"/>
        <family val="2"/>
      </rPr>
      <t>2</t>
    </r>
    <r>
      <rPr>
        <b/>
        <i/>
        <sz val="10"/>
        <rFont val="Calibri"/>
        <family val="2"/>
      </rPr>
      <t>S)</t>
    </r>
  </si>
  <si>
    <t>Un-ionized Ammonia (mg/L)</t>
  </si>
  <si>
    <t>Measured</t>
  </si>
  <si>
    <t>Total Ammonia(mg/L)</t>
  </si>
  <si>
    <t>Total Sulfides (μg/L as S)</t>
  </si>
  <si>
    <t>Salinity (ppt)</t>
  </si>
  <si>
    <t>pH</t>
  </si>
  <si>
    <t xml:space="preserve"> Temp (C)</t>
  </si>
  <si>
    <t>Calculated</t>
  </si>
  <si>
    <t>example - day 0</t>
  </si>
  <si>
    <t>For each analyte, the pKa is calculated first, then the concentration of the unionized form.</t>
  </si>
  <si>
    <t>Formulas used for calculation of unionized ammonia</t>
  </si>
  <si>
    <r>
      <t>pKa</t>
    </r>
    <r>
      <rPr>
        <b/>
        <vertAlign val="superscript"/>
        <sz val="11"/>
        <color theme="1"/>
        <rFont val="Calibri"/>
        <family val="2"/>
        <scheme val="minor"/>
      </rPr>
      <t>s</t>
    </r>
    <r>
      <rPr>
        <b/>
        <sz val="11"/>
        <color theme="1"/>
        <rFont val="Calibri"/>
        <family val="2"/>
        <scheme val="minor"/>
      </rPr>
      <t xml:space="preserve">: </t>
    </r>
  </si>
  <si>
    <t>Source: Hampson, B.L. 1977 Relationship between total ammonia and free ammonia in terrestrial and open ocean waters. J. Cons. Int. Explor Mer, 37(2): 117-122.</t>
  </si>
  <si>
    <t>Ionic strength vs. pKa values table from Hampson:</t>
  </si>
  <si>
    <r>
      <t>Ionic strength:pKa</t>
    </r>
    <r>
      <rPr>
        <b/>
        <vertAlign val="superscript"/>
        <sz val="10"/>
        <color theme="1"/>
        <rFont val="Arial"/>
        <family val="2"/>
      </rPr>
      <t>s</t>
    </r>
  </si>
  <si>
    <t>We plotted the above table to provide a regression for calculating the pKa from the above table:</t>
  </si>
  <si>
    <t>Where X = Ionic strength = 19.9273* Salinity /(1000-1005109*Salinity)</t>
  </si>
  <si>
    <t>Note: The salinity to ionic strength conversion above is from Hampson</t>
  </si>
  <si>
    <t>So the complete formula is:</t>
  </si>
  <si>
    <t>Unionized ammonia concentration:</t>
  </si>
  <si>
    <t>Source: USEPA Ambient Water Quality Criteria of Ammonia (Saltwater) 1989 EPA 400/5-88-004</t>
  </si>
  <si>
    <t>Page 2 equation 4 :</t>
  </si>
  <si>
    <t>Where P = 1 atm</t>
  </si>
  <si>
    <t>T = Temperature (°K)</t>
  </si>
  <si>
    <r>
      <t>X = pK</t>
    </r>
    <r>
      <rPr>
        <vertAlign val="subscript"/>
        <sz val="11"/>
        <color theme="1"/>
        <rFont val="Calibri"/>
        <family val="2"/>
        <scheme val="minor"/>
      </rPr>
      <t>a</t>
    </r>
    <r>
      <rPr>
        <vertAlign val="superscript"/>
        <sz val="11"/>
        <color theme="1"/>
        <rFont val="Calibri"/>
        <family val="2"/>
        <scheme val="minor"/>
      </rPr>
      <t>s</t>
    </r>
    <r>
      <rPr>
        <sz val="11"/>
        <color theme="1"/>
        <rFont val="Calibri"/>
        <family val="2"/>
        <scheme val="minor"/>
      </rPr>
      <t>, or the stoichiometric acid hydrolysis constant of ammonium ions in saline water based on ionic strength from Hampson 1977 above.</t>
    </r>
  </si>
  <si>
    <t>Modified to provide unionized amount as follows</t>
  </si>
  <si>
    <t>Formulas used for calculation of hydrogen sulfide</t>
  </si>
  <si>
    <t>pKa:</t>
  </si>
  <si>
    <t>Source: Millero, F.J. 1988. The dissociation of hydrogen sulfide in seawater. Limnol. Oceanogr. 33(2): 269-274.</t>
  </si>
  <si>
    <t>Where T = Temperature (°K)</t>
  </si>
  <si>
    <t>S = Salinity (ppt)</t>
  </si>
  <si>
    <t>Note: The pH scale used in the derivation of this pKa is in total proton scale, not the NIST scale used in most laboratories. The pH scale conversion is accounted for in the hydrogen sulfide calculation below.</t>
  </si>
  <si>
    <t>Hydrogen sulfide concentration:</t>
  </si>
  <si>
    <t>Source: Phillips, B.M.; B.S. Anderson; J.W. Hunt. 1997. Measurement and distribution of interstitial and overlying ammonia and hydrogen sulfide in sediment toxicity tests. Marine Environmental Research 44(2): 117-126.</t>
  </si>
  <si>
    <r>
      <t>Hydrogen Sulfide = total sulfide * (1 – ((1 + antilog(pKa-pH))</t>
    </r>
    <r>
      <rPr>
        <vertAlign val="superscript"/>
        <sz val="11"/>
        <color theme="1"/>
        <rFont val="Calibri"/>
        <family val="2"/>
        <scheme val="minor"/>
      </rPr>
      <t>-1</t>
    </r>
    <r>
      <rPr>
        <sz val="11"/>
        <color theme="1"/>
        <rFont val="Calibri"/>
        <family val="2"/>
        <scheme val="minor"/>
      </rPr>
      <t>))</t>
    </r>
  </si>
  <si>
    <t>The pH in this formula was converted to the Millero total proton scale by subtracting 0.15 per Cai et al. 2016. Microelectrode characterization of coral daytime interior pH and carbonate chemistry. Nature communications. DOI: 10.1038/ncomms11144.</t>
  </si>
  <si>
    <t>So the final formula becomes:</t>
  </si>
  <si>
    <r>
      <t>Hydrogen Sulfide = total sulfide * (1 – ((1 + antilog(pKa-(pH-0.15)))</t>
    </r>
    <r>
      <rPr>
        <vertAlign val="superscript"/>
        <sz val="11"/>
        <color theme="1"/>
        <rFont val="Calibri"/>
        <family val="2"/>
        <scheme val="minor"/>
      </rPr>
      <t>-1</t>
    </r>
    <r>
      <rPr>
        <sz val="11"/>
        <color theme="1"/>
        <rFont val="Calibri"/>
        <family val="2"/>
        <scheme val="minor"/>
      </rPr>
      <t>))</t>
    </r>
  </si>
  <si>
    <r>
      <t>pKa</t>
    </r>
    <r>
      <rPr>
        <vertAlign val="superscript"/>
        <sz val="11"/>
        <color theme="1"/>
        <rFont val="Calibri"/>
        <family val="2"/>
        <scheme val="minor"/>
      </rPr>
      <t>s</t>
    </r>
    <r>
      <rPr>
        <sz val="11"/>
        <color theme="1"/>
        <rFont val="Calibri"/>
        <family val="2"/>
        <scheme val="minor"/>
      </rPr>
      <t xml:space="preserve"> = (0.0003*(((19.9273*salinity/(1000-1.005109*salinity)))^2)+0.0091*((19.9273*salinity/(1000-1.005109*salinity)))+9.2502)</t>
    </r>
  </si>
  <si>
    <t>UIA = total ammonia/[1 + 10^(X + 0.0324 (298-T) + 0.0415 P/T – pH)]</t>
  </si>
  <si>
    <t>% UIA = 100/ [1 + 10^(X + 0.0324 (298-T) + 0.0415 P/T – pH)]</t>
  </si>
  <si>
    <t>pKa = -98.080 + (5764.4/T) + 15.0455lnT + (-0.1498*√S)+(0.0119*S)</t>
  </si>
  <si>
    <t>Calculations and references provided by EcoAnalysts,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</si>
</sst>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00"/>
    <numFmt numFmtId="167" formatCode="0.0000"/>
  </numFmts>
  <fonts count="18" x14ac:knownFonts="1">
    <font>
      <sz val="11"/>
      <color theme="1"/>
      <name val="Calibri"/>
      <family val="2"/>
      <scheme val="minor"/>
    </font>
    <font>
      <sz val="11"/>
      <name val="Calibri"/>
      <family val="2"/>
      <scheme val="minor"/>
    </font>
    <font>
      <sz val="10"/>
      <name val="Calibri"/>
      <family val="2"/>
      <scheme val="minor"/>
    </font>
    <font>
      <b/>
      <sz val="10"/>
      <name val="Calibri"/>
      <family val="2"/>
      <scheme val="minor"/>
    </font>
    <font>
      <b/>
      <i/>
      <sz val="10"/>
      <name val="Calibri"/>
      <family val="2"/>
      <scheme val="minor"/>
    </font>
    <font>
      <b/>
      <i/>
      <vertAlign val="subscript"/>
      <sz val="10"/>
      <name val="Calibri"/>
      <family val="2"/>
      <scheme val="minor"/>
    </font>
    <font>
      <b/>
      <i/>
      <vertAlign val="superscript"/>
      <sz val="10"/>
      <name val="Calibri"/>
      <family val="2"/>
      <scheme val="minor"/>
    </font>
    <font>
      <b/>
      <sz val="10"/>
      <name val="Calibri"/>
      <family val="2"/>
    </font>
    <font>
      <b/>
      <i/>
      <sz val="10"/>
      <name val="Calibri"/>
      <family val="2"/>
    </font>
    <font>
      <b/>
      <i/>
      <vertAlign val="subscript"/>
      <sz val="10"/>
      <name val="Calibri"/>
      <family val="2"/>
    </font>
    <font>
      <b/>
      <sz val="11"/>
      <color theme="1"/>
      <name val="Calibri"/>
      <family val="2"/>
      <scheme val="minor"/>
    </font>
    <font>
      <b/>
      <sz val="12"/>
      <color theme="1"/>
      <name val="Calibri"/>
      <family val="2"/>
      <scheme val="minor"/>
    </font>
    <font>
      <b/>
      <vertAlign val="superscript"/>
      <sz val="11"/>
      <color theme="1"/>
      <name val="Calibri"/>
      <family val="2"/>
      <scheme val="minor"/>
    </font>
    <font>
      <b/>
      <sz val="10"/>
      <color theme="1"/>
      <name val="Arial"/>
      <family val="2"/>
    </font>
    <font>
      <b/>
      <vertAlign val="superscript"/>
      <sz val="10"/>
      <color theme="1"/>
      <name val="Arial"/>
      <family val="2"/>
    </font>
    <font>
      <sz val="10"/>
      <color theme="1"/>
      <name val="Arial"/>
      <family val="2"/>
    </font>
    <font>
      <vertAlign val="superscript"/>
      <sz val="11"/>
      <color theme="1"/>
      <name val="Calibri"/>
      <family val="2"/>
      <scheme val="minor"/>
    </font>
    <font>
      <vertAlign val="subscrip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6">
    <xf numFmtId="0" fontId="0" fillId="0" borderId="0" xfId="0"/>
    <xf numFmtId="0" fontId="1" fillId="2" borderId="0" xfId="0" applyFont="1" applyFill="1"/>
    <xf numFmtId="1" fontId="2" fillId="2" borderId="1" xfId="0" applyNumberFormat="1" applyFont="1" applyFill="1" applyBorder="1" applyAlignment="1" applyProtection="1">
      <alignment horizontal="left" vertical="center" shrinkToFit="1"/>
      <protection locked="0"/>
    </xf>
    <xf numFmtId="1" fontId="2" fillId="2" borderId="1" xfId="0" applyNumberFormat="1" applyFont="1" applyFill="1" applyBorder="1" applyAlignment="1">
      <alignment horizontal="center" vertical="center"/>
    </xf>
    <xf numFmtId="0" fontId="2" fillId="2" borderId="1" xfId="0" applyFont="1" applyFill="1" applyBorder="1" applyAlignment="1" applyProtection="1">
      <alignment horizontal="center" vertical="center"/>
      <protection locked="0"/>
    </xf>
    <xf numFmtId="164"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165" fontId="2" fillId="2" borderId="1" xfId="0" applyNumberFormat="1" applyFont="1" applyFill="1" applyBorder="1" applyAlignment="1">
      <alignment horizontal="center" vertical="center"/>
    </xf>
    <xf numFmtId="2" fontId="2" fillId="0" borderId="1" xfId="0" applyNumberFormat="1" applyFont="1" applyBorder="1" applyAlignment="1">
      <alignment horizontal="center"/>
    </xf>
    <xf numFmtId="167" fontId="2" fillId="2" borderId="1" xfId="0" applyNumberFormat="1" applyFont="1" applyFill="1" applyBorder="1" applyAlignment="1">
      <alignment horizontal="center" vertical="center"/>
    </xf>
    <xf numFmtId="0" fontId="0" fillId="0" borderId="1" xfId="0" applyBorder="1"/>
    <xf numFmtId="166" fontId="3" fillId="2" borderId="1" xfId="0" applyNumberFormat="1" applyFont="1" applyFill="1" applyBorder="1" applyAlignment="1">
      <alignment horizontal="center" wrapText="1"/>
    </xf>
    <xf numFmtId="165" fontId="4" fillId="2" borderId="1" xfId="0" applyNumberFormat="1" applyFont="1" applyFill="1" applyBorder="1" applyAlignment="1">
      <alignment horizontal="center" wrapText="1"/>
    </xf>
    <xf numFmtId="164" fontId="4" fillId="2" borderId="1" xfId="0" applyNumberFormat="1" applyFont="1" applyFill="1" applyBorder="1" applyAlignment="1">
      <alignment horizontal="center" wrapText="1"/>
    </xf>
    <xf numFmtId="164" fontId="4" fillId="2" borderId="1" xfId="0" applyNumberFormat="1" applyFont="1" applyFill="1" applyBorder="1" applyAlignment="1">
      <alignment horizontal="center"/>
    </xf>
    <xf numFmtId="167" fontId="4" fillId="2" borderId="1" xfId="0" applyNumberFormat="1" applyFont="1" applyFill="1" applyBorder="1" applyAlignment="1">
      <alignment horizontal="center"/>
    </xf>
    <xf numFmtId="166" fontId="2" fillId="2" borderId="1" xfId="0" applyNumberFormat="1" applyFont="1" applyFill="1" applyBorder="1" applyAlignment="1">
      <alignment horizontal="center"/>
    </xf>
    <xf numFmtId="165" fontId="2" fillId="2" borderId="1" xfId="0" applyNumberFormat="1" applyFont="1" applyFill="1" applyBorder="1" applyAlignment="1">
      <alignment horizontal="center" wrapText="1"/>
    </xf>
    <xf numFmtId="164" fontId="2" fillId="2" borderId="1" xfId="0" applyNumberFormat="1" applyFont="1" applyFill="1" applyBorder="1" applyAlignment="1">
      <alignment horizontal="center" wrapText="1"/>
    </xf>
    <xf numFmtId="0" fontId="0" fillId="0" borderId="0" xfId="0" applyBorder="1"/>
    <xf numFmtId="0" fontId="0" fillId="0" borderId="0" xfId="0" applyAlignment="1">
      <alignment vertical="center"/>
    </xf>
    <xf numFmtId="0" fontId="11" fillId="0" borderId="0" xfId="0" applyFont="1" applyAlignment="1">
      <alignment vertical="center"/>
    </xf>
    <xf numFmtId="0" fontId="10" fillId="0" borderId="0" xfId="0" applyFont="1" applyAlignment="1">
      <alignment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5" borderId="0" xfId="0" applyFill="1"/>
    <xf numFmtId="0" fontId="0" fillId="3" borderId="1" xfId="0" applyFill="1" applyBorder="1" applyAlignment="1">
      <alignment horizontal="center"/>
    </xf>
    <xf numFmtId="166" fontId="3" fillId="2" borderId="1" xfId="0" applyNumberFormat="1" applyFont="1" applyFill="1" applyBorder="1" applyAlignment="1">
      <alignment horizontal="center"/>
    </xf>
    <xf numFmtId="0" fontId="0" fillId="4" borderId="1" xfId="0" applyFill="1" applyBorder="1" applyAlignment="1">
      <alignment horizontal="center"/>
    </xf>
    <xf numFmtId="166" fontId="3" fillId="2" borderId="3" xfId="0" applyNumberFormat="1" applyFont="1" applyFill="1" applyBorder="1" applyAlignment="1">
      <alignment horizontal="center" wrapText="1"/>
    </xf>
    <xf numFmtId="166" fontId="3" fillId="2" borderId="2" xfId="0" applyNumberFormat="1" applyFont="1" applyFill="1" applyBorder="1" applyAlignment="1">
      <alignment horizontal="center" wrapText="1"/>
    </xf>
    <xf numFmtId="0" fontId="13" fillId="0" borderId="4" xfId="0" applyFont="1" applyBorder="1" applyAlignment="1">
      <alignment horizontal="center" vertical="center"/>
    </xf>
    <xf numFmtId="0" fontId="13" fillId="0" borderId="5"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407670</xdr:colOff>
      <xdr:row>10</xdr:row>
      <xdr:rowOff>76200</xdr:rowOff>
    </xdr:from>
    <xdr:to>
      <xdr:col>11</xdr:col>
      <xdr:colOff>571500</xdr:colOff>
      <xdr:row>22</xdr:row>
      <xdr:rowOff>26670</xdr:rowOff>
    </xdr:to>
    <xdr:pic>
      <xdr:nvPicPr>
        <xdr:cNvPr id="2" name="Picture 1">
          <a:extLst>
            <a:ext uri="{FF2B5EF4-FFF2-40B4-BE49-F238E27FC236}">
              <a16:creationId xmlns:a16="http://schemas.microsoft.com/office/drawing/2014/main" id="{C809D06F-AD22-43EB-9967-6153DD285E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4070" y="1600200"/>
          <a:ext cx="1383030" cy="21316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F90FA-1A6B-409B-99E7-48FAF5D3290D}">
  <dimension ref="A2:N15"/>
  <sheetViews>
    <sheetView tabSelected="1" zoomScale="130" zoomScaleNormal="130" workbookViewId="0">
      <selection activeCell="O9" sqref="O9"/>
    </sheetView>
  </sheetViews>
  <sheetFormatPr defaultRowHeight="14.4" x14ac:dyDescent="0.3"/>
  <cols>
    <col min="2" max="2" width="22.6640625" customWidth="1"/>
    <col min="3" max="3" width="12.77734375" customWidth="1"/>
    <col min="11" max="11" width="13.21875" customWidth="1"/>
    <col min="12" max="12" width="9.5546875" customWidth="1"/>
    <col min="13" max="13" width="16.109375" customWidth="1"/>
  </cols>
  <sheetData>
    <row r="2" spans="1:14" x14ac:dyDescent="0.3">
      <c r="B2" s="30" t="s">
        <v>0</v>
      </c>
      <c r="C2" s="32" t="s">
        <v>1</v>
      </c>
      <c r="D2" s="29" t="s">
        <v>7</v>
      </c>
      <c r="E2" s="29"/>
      <c r="F2" s="29"/>
      <c r="G2" s="29"/>
      <c r="H2" s="29"/>
      <c r="I2" s="31" t="s">
        <v>13</v>
      </c>
      <c r="J2" s="31"/>
      <c r="K2" s="31"/>
      <c r="L2" s="31"/>
      <c r="M2" s="31"/>
      <c r="N2" s="20"/>
    </row>
    <row r="3" spans="1:14" ht="55.8" x14ac:dyDescent="0.35">
      <c r="A3" s="1"/>
      <c r="B3" s="30"/>
      <c r="C3" s="33"/>
      <c r="D3" s="13" t="s">
        <v>8</v>
      </c>
      <c r="E3" s="13" t="s">
        <v>9</v>
      </c>
      <c r="F3" s="14" t="s">
        <v>10</v>
      </c>
      <c r="G3" s="14" t="s">
        <v>11</v>
      </c>
      <c r="H3" s="14" t="s">
        <v>12</v>
      </c>
      <c r="I3" s="15" t="s">
        <v>2</v>
      </c>
      <c r="J3" s="16" t="s">
        <v>3</v>
      </c>
      <c r="K3" s="13" t="s">
        <v>6</v>
      </c>
      <c r="L3" s="13" t="s">
        <v>4</v>
      </c>
      <c r="M3" s="13" t="s">
        <v>5</v>
      </c>
      <c r="N3" s="20"/>
    </row>
    <row r="4" spans="1:14" x14ac:dyDescent="0.3">
      <c r="A4" s="1"/>
      <c r="B4" s="17" t="s">
        <v>14</v>
      </c>
      <c r="C4" s="12"/>
      <c r="D4" s="18">
        <v>2</v>
      </c>
      <c r="E4" s="18">
        <v>0</v>
      </c>
      <c r="F4" s="19">
        <v>28</v>
      </c>
      <c r="G4" s="19">
        <v>7.6</v>
      </c>
      <c r="H4" s="19">
        <v>15.9</v>
      </c>
      <c r="I4" s="7">
        <f t="shared" ref="I4:I15" si="0">H4+273.15</f>
        <v>289.04999999999995</v>
      </c>
      <c r="J4" s="7">
        <f>IF(D4="","",(0.0003*(((19.9273*F4/(1000-1.005109*F4)))^2)+0.0091*((19.9273*F4/(1000-1.005109*F4)))+9.2502))</f>
        <v>9.2555233944896962</v>
      </c>
      <c r="K4" s="10">
        <f>IF(D4="NM","NM",IF(D4="","",IF(D4&gt;0,(D4/(1+10^(J4+0.0324*(298-I4)+0.0415*1/I4-G4))),"0.000")))</f>
        <v>2.2412420267212258E-2</v>
      </c>
      <c r="L4" s="9">
        <f>IF(E4="","",-98.08+(5765.4/I4)+15.0455*LN(I4)+(-0.1498*SQRT(F4))+(0.0119*F4))</f>
        <v>6.6633885443317249</v>
      </c>
      <c r="M4" s="8">
        <f>IF(E4="ND","ND",IF(E4="NM","NM",IF(E4="","",E4*(1-(1/(1+10^(L4-(G4-0.15))))))))</f>
        <v>0</v>
      </c>
      <c r="N4" s="20"/>
    </row>
    <row r="5" spans="1:14" x14ac:dyDescent="0.3">
      <c r="A5" s="1"/>
      <c r="B5" s="17"/>
      <c r="C5" s="12"/>
      <c r="D5" s="18"/>
      <c r="E5" s="18"/>
      <c r="F5" s="19"/>
      <c r="G5" s="19"/>
      <c r="H5" s="19"/>
      <c r="I5" s="7">
        <f t="shared" si="0"/>
        <v>273.14999999999998</v>
      </c>
      <c r="J5" s="7" t="str">
        <f>IF(D5="","",(0.0003*(((19.9273*F5/(1000-1.005109*F5)))^2)+0.0091*((19.9273*F5/(1000-1.005109*F5)))+9.2502))</f>
        <v/>
      </c>
      <c r="K5" s="10" t="str">
        <f t="shared" ref="K5:K15" si="1">IF(D5="NM","NM",IF(D5="","",IF(D5&gt;0,(D5/(1+10^(J5+0.0324*(298-I5)+0.0415*1/I5-G5))),"0.000")))</f>
        <v/>
      </c>
      <c r="L5" s="9" t="str">
        <f t="shared" ref="L5:L15" si="2">IF(E5="","",-98.08+(5765.4/I5)+15.0455*LN(I5)+(-0.1498*SQRT(F5))+(0.0119*F5))</f>
        <v/>
      </c>
      <c r="M5" s="8" t="str">
        <f t="shared" ref="M5:M15" si="3">IF(E5="ND","ND",IF(E5="NM","NM",IF(E5="","",E5*(1-(1/(1+10^(L5-(G5-0.15))))))))</f>
        <v/>
      </c>
      <c r="N5" s="20"/>
    </row>
    <row r="6" spans="1:14" x14ac:dyDescent="0.3">
      <c r="A6" s="1"/>
      <c r="B6" s="17"/>
      <c r="C6" s="12"/>
      <c r="D6" s="18"/>
      <c r="E6" s="18"/>
      <c r="F6" s="19"/>
      <c r="G6" s="19"/>
      <c r="H6" s="19"/>
      <c r="I6" s="7">
        <f t="shared" si="0"/>
        <v>273.14999999999998</v>
      </c>
      <c r="J6" s="7" t="str">
        <f t="shared" ref="J6:J15" si="4">IF(D6="","",(0.0003*(((19.9273*F6/(1000-1.005109*F6)))^2)+0.0091*((19.9273*F6/(1000-1.005109*F6)))+9.2502))</f>
        <v/>
      </c>
      <c r="K6" s="10" t="str">
        <f t="shared" si="1"/>
        <v/>
      </c>
      <c r="L6" s="9" t="str">
        <f t="shared" si="2"/>
        <v/>
      </c>
      <c r="M6" s="8" t="str">
        <f t="shared" si="3"/>
        <v/>
      </c>
      <c r="N6" s="20"/>
    </row>
    <row r="7" spans="1:14" x14ac:dyDescent="0.3">
      <c r="A7" s="1"/>
      <c r="B7" s="2"/>
      <c r="C7" s="3"/>
      <c r="D7" s="4"/>
      <c r="E7" s="4"/>
      <c r="F7" s="6"/>
      <c r="G7" s="5"/>
      <c r="H7" s="19"/>
      <c r="I7" s="7">
        <f t="shared" si="0"/>
        <v>273.14999999999998</v>
      </c>
      <c r="J7" s="7" t="str">
        <f t="shared" si="4"/>
        <v/>
      </c>
      <c r="K7" s="10" t="str">
        <f t="shared" si="1"/>
        <v/>
      </c>
      <c r="L7" s="9" t="str">
        <f t="shared" si="2"/>
        <v/>
      </c>
      <c r="M7" s="8" t="str">
        <f t="shared" si="3"/>
        <v/>
      </c>
      <c r="N7" s="20"/>
    </row>
    <row r="8" spans="1:14" x14ac:dyDescent="0.3">
      <c r="A8" s="1"/>
      <c r="B8" s="2"/>
      <c r="C8" s="3"/>
      <c r="D8" s="4"/>
      <c r="E8" s="4"/>
      <c r="F8" s="6"/>
      <c r="G8" s="5"/>
      <c r="H8" s="19"/>
      <c r="I8" s="7">
        <f t="shared" si="0"/>
        <v>273.14999999999998</v>
      </c>
      <c r="J8" s="7" t="str">
        <f t="shared" si="4"/>
        <v/>
      </c>
      <c r="K8" s="10" t="str">
        <f t="shared" si="1"/>
        <v/>
      </c>
      <c r="L8" s="9" t="str">
        <f t="shared" si="2"/>
        <v/>
      </c>
      <c r="M8" s="8" t="str">
        <f t="shared" si="3"/>
        <v/>
      </c>
    </row>
    <row r="9" spans="1:14" x14ac:dyDescent="0.3">
      <c r="A9" s="1"/>
      <c r="B9" s="2"/>
      <c r="C9" s="3"/>
      <c r="D9" s="4"/>
      <c r="E9" s="4"/>
      <c r="F9" s="6"/>
      <c r="G9" s="5"/>
      <c r="H9" s="19"/>
      <c r="I9" s="7">
        <f t="shared" si="0"/>
        <v>273.14999999999998</v>
      </c>
      <c r="J9" s="7" t="str">
        <f t="shared" si="4"/>
        <v/>
      </c>
      <c r="K9" s="10" t="str">
        <f t="shared" si="1"/>
        <v/>
      </c>
      <c r="L9" s="9" t="str">
        <f t="shared" si="2"/>
        <v/>
      </c>
      <c r="M9" s="8" t="str">
        <f t="shared" si="3"/>
        <v/>
      </c>
    </row>
    <row r="10" spans="1:14" x14ac:dyDescent="0.3">
      <c r="B10" s="11"/>
      <c r="C10" s="11"/>
      <c r="D10" s="11"/>
      <c r="E10" s="11"/>
      <c r="F10" s="6"/>
      <c r="G10" s="5"/>
      <c r="H10" s="19"/>
      <c r="I10" s="7">
        <f t="shared" si="0"/>
        <v>273.14999999999998</v>
      </c>
      <c r="J10" s="7" t="str">
        <f t="shared" si="4"/>
        <v/>
      </c>
      <c r="K10" s="10" t="str">
        <f t="shared" si="1"/>
        <v/>
      </c>
      <c r="L10" s="9" t="str">
        <f t="shared" si="2"/>
        <v/>
      </c>
      <c r="M10" s="8" t="str">
        <f t="shared" si="3"/>
        <v/>
      </c>
    </row>
    <row r="11" spans="1:14" x14ac:dyDescent="0.3">
      <c r="B11" s="2"/>
      <c r="C11" s="11"/>
      <c r="D11" s="11"/>
      <c r="E11" s="11"/>
      <c r="F11" s="6"/>
      <c r="G11" s="5"/>
      <c r="H11" s="19"/>
      <c r="I11" s="7">
        <f t="shared" si="0"/>
        <v>273.14999999999998</v>
      </c>
      <c r="J11" s="7" t="str">
        <f t="shared" si="4"/>
        <v/>
      </c>
      <c r="K11" s="10" t="str">
        <f t="shared" si="1"/>
        <v/>
      </c>
      <c r="L11" s="9" t="str">
        <f t="shared" si="2"/>
        <v/>
      </c>
      <c r="M11" s="8" t="str">
        <f t="shared" si="3"/>
        <v/>
      </c>
    </row>
    <row r="12" spans="1:14" x14ac:dyDescent="0.3">
      <c r="B12" s="2"/>
      <c r="C12" s="11"/>
      <c r="D12" s="4"/>
      <c r="E12" s="4"/>
      <c r="F12" s="6"/>
      <c r="G12" s="5"/>
      <c r="H12" s="19"/>
      <c r="I12" s="7">
        <f t="shared" si="0"/>
        <v>273.14999999999998</v>
      </c>
      <c r="J12" s="7" t="str">
        <f t="shared" si="4"/>
        <v/>
      </c>
      <c r="K12" s="10" t="str">
        <f t="shared" si="1"/>
        <v/>
      </c>
      <c r="L12" s="9" t="str">
        <f t="shared" si="2"/>
        <v/>
      </c>
      <c r="M12" s="8" t="str">
        <f t="shared" si="3"/>
        <v/>
      </c>
    </row>
    <row r="13" spans="1:14" x14ac:dyDescent="0.3">
      <c r="B13" s="11"/>
      <c r="C13" s="11"/>
      <c r="D13" s="11"/>
      <c r="E13" s="4"/>
      <c r="F13" s="6"/>
      <c r="G13" s="5"/>
      <c r="H13" s="19"/>
      <c r="I13" s="7">
        <f t="shared" si="0"/>
        <v>273.14999999999998</v>
      </c>
      <c r="J13" s="7" t="str">
        <f t="shared" si="4"/>
        <v/>
      </c>
      <c r="K13" s="10" t="str">
        <f t="shared" si="1"/>
        <v/>
      </c>
      <c r="L13" s="9" t="str">
        <f t="shared" si="2"/>
        <v/>
      </c>
      <c r="M13" s="8" t="str">
        <f t="shared" si="3"/>
        <v/>
      </c>
    </row>
    <row r="14" spans="1:14" x14ac:dyDescent="0.3">
      <c r="B14" s="2"/>
      <c r="C14" s="11"/>
      <c r="D14" s="11"/>
      <c r="E14" s="11"/>
      <c r="F14" s="6"/>
      <c r="G14" s="5"/>
      <c r="H14" s="19"/>
      <c r="I14" s="7">
        <f t="shared" si="0"/>
        <v>273.14999999999998</v>
      </c>
      <c r="J14" s="7" t="str">
        <f t="shared" si="4"/>
        <v/>
      </c>
      <c r="K14" s="10" t="str">
        <f t="shared" si="1"/>
        <v/>
      </c>
      <c r="L14" s="9" t="str">
        <f t="shared" si="2"/>
        <v/>
      </c>
      <c r="M14" s="8" t="str">
        <f t="shared" si="3"/>
        <v/>
      </c>
    </row>
    <row r="15" spans="1:14" x14ac:dyDescent="0.3">
      <c r="B15" s="2"/>
      <c r="C15" s="11"/>
      <c r="D15" s="11"/>
      <c r="E15" s="11"/>
      <c r="F15" s="6"/>
      <c r="G15" s="5"/>
      <c r="H15" s="19"/>
      <c r="I15" s="7">
        <f t="shared" si="0"/>
        <v>273.14999999999998</v>
      </c>
      <c r="J15" s="7" t="str">
        <f t="shared" si="4"/>
        <v/>
      </c>
      <c r="K15" s="10" t="str">
        <f t="shared" si="1"/>
        <v/>
      </c>
      <c r="L15" s="9" t="str">
        <f t="shared" si="2"/>
        <v/>
      </c>
      <c r="M15" s="8" t="str">
        <f t="shared" si="3"/>
        <v/>
      </c>
    </row>
  </sheetData>
  <sheetProtection selectLockedCells="1" selectUnlockedCells="1"/>
  <mergeCells count="4">
    <mergeCell ref="D2:H2"/>
    <mergeCell ref="B2:B3"/>
    <mergeCell ref="I2:M2"/>
    <mergeCell ref="C2:C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0C7C6-8482-4831-8C7F-C7CCE1A60061}">
  <dimension ref="A1:F48"/>
  <sheetViews>
    <sheetView workbookViewId="0">
      <selection activeCell="R24" sqref="R24"/>
    </sheetView>
  </sheetViews>
  <sheetFormatPr defaultRowHeight="14.4" x14ac:dyDescent="0.3"/>
  <sheetData>
    <row r="1" spans="1:6" x14ac:dyDescent="0.3">
      <c r="A1" s="28" t="s">
        <v>48</v>
      </c>
      <c r="B1" s="28"/>
      <c r="C1" s="28"/>
      <c r="D1" s="28"/>
      <c r="E1" s="28"/>
      <c r="F1" s="28"/>
    </row>
    <row r="3" spans="1:6" x14ac:dyDescent="0.3">
      <c r="A3" s="21" t="s">
        <v>15</v>
      </c>
    </row>
    <row r="4" spans="1:6" x14ac:dyDescent="0.3">
      <c r="A4" s="21"/>
    </row>
    <row r="5" spans="1:6" ht="15.6" x14ac:dyDescent="0.3">
      <c r="A5" s="22" t="s">
        <v>16</v>
      </c>
    </row>
    <row r="6" spans="1:6" ht="16.2" x14ac:dyDescent="0.3">
      <c r="A6" s="23" t="s">
        <v>17</v>
      </c>
    </row>
    <row r="7" spans="1:6" x14ac:dyDescent="0.3">
      <c r="A7" s="21" t="s">
        <v>18</v>
      </c>
    </row>
    <row r="8" spans="1:6" ht="15" thickBot="1" x14ac:dyDescent="0.35">
      <c r="A8" s="21" t="s">
        <v>19</v>
      </c>
    </row>
    <row r="9" spans="1:6" ht="15.6" x14ac:dyDescent="0.3">
      <c r="A9" s="34" t="s">
        <v>20</v>
      </c>
      <c r="B9" s="35"/>
    </row>
    <row r="10" spans="1:6" x14ac:dyDescent="0.3">
      <c r="A10" s="24">
        <v>1</v>
      </c>
      <c r="B10" s="25">
        <v>9.26</v>
      </c>
    </row>
    <row r="11" spans="1:6" x14ac:dyDescent="0.3">
      <c r="A11" s="24">
        <v>2</v>
      </c>
      <c r="B11" s="25">
        <v>9.27</v>
      </c>
    </row>
    <row r="12" spans="1:6" x14ac:dyDescent="0.3">
      <c r="A12" s="24">
        <v>3</v>
      </c>
      <c r="B12" s="25">
        <v>9.2799999999999994</v>
      </c>
    </row>
    <row r="13" spans="1:6" x14ac:dyDescent="0.3">
      <c r="A13" s="24">
        <v>4</v>
      </c>
      <c r="B13" s="25">
        <v>9.2899999999999991</v>
      </c>
    </row>
    <row r="14" spans="1:6" x14ac:dyDescent="0.3">
      <c r="A14" s="24">
        <v>5</v>
      </c>
      <c r="B14" s="25">
        <v>9.3000000000000007</v>
      </c>
    </row>
    <row r="15" spans="1:6" x14ac:dyDescent="0.3">
      <c r="A15" s="24">
        <v>6</v>
      </c>
      <c r="B15" s="25">
        <v>9.32</v>
      </c>
    </row>
    <row r="16" spans="1:6" x14ac:dyDescent="0.3">
      <c r="A16" s="24">
        <v>7</v>
      </c>
      <c r="B16" s="25">
        <v>9.33</v>
      </c>
    </row>
    <row r="17" spans="1:2" ht="15" thickBot="1" x14ac:dyDescent="0.35">
      <c r="A17" s="26">
        <v>8</v>
      </c>
      <c r="B17" s="27">
        <v>9.34</v>
      </c>
    </row>
    <row r="18" spans="1:2" x14ac:dyDescent="0.3">
      <c r="A18" s="21"/>
    </row>
    <row r="19" spans="1:2" x14ac:dyDescent="0.3">
      <c r="A19" s="21" t="s">
        <v>21</v>
      </c>
    </row>
    <row r="21" spans="1:2" x14ac:dyDescent="0.3">
      <c r="A21" s="21" t="s">
        <v>22</v>
      </c>
    </row>
    <row r="22" spans="1:2" x14ac:dyDescent="0.3">
      <c r="A22" s="21" t="s">
        <v>23</v>
      </c>
    </row>
    <row r="23" spans="1:2" x14ac:dyDescent="0.3">
      <c r="A23" s="21" t="s">
        <v>24</v>
      </c>
    </row>
    <row r="24" spans="1:2" ht="16.2" x14ac:dyDescent="0.3">
      <c r="A24" s="21" t="s">
        <v>44</v>
      </c>
    </row>
    <row r="25" spans="1:2" x14ac:dyDescent="0.3">
      <c r="A25" s="23"/>
    </row>
    <row r="26" spans="1:2" x14ac:dyDescent="0.3">
      <c r="A26" s="23" t="s">
        <v>25</v>
      </c>
    </row>
    <row r="27" spans="1:2" x14ac:dyDescent="0.3">
      <c r="A27" s="21" t="s">
        <v>26</v>
      </c>
    </row>
    <row r="28" spans="1:2" x14ac:dyDescent="0.3">
      <c r="A28" s="21" t="s">
        <v>27</v>
      </c>
    </row>
    <row r="29" spans="1:2" x14ac:dyDescent="0.3">
      <c r="A29" s="21" t="s">
        <v>46</v>
      </c>
    </row>
    <row r="30" spans="1:2" x14ac:dyDescent="0.3">
      <c r="A30" s="21" t="s">
        <v>28</v>
      </c>
    </row>
    <row r="31" spans="1:2" x14ac:dyDescent="0.3">
      <c r="A31" s="21" t="s">
        <v>29</v>
      </c>
    </row>
    <row r="32" spans="1:2" ht="16.2" x14ac:dyDescent="0.3">
      <c r="A32" s="21" t="s">
        <v>30</v>
      </c>
    </row>
    <row r="33" spans="1:1" x14ac:dyDescent="0.3">
      <c r="A33" s="21" t="s">
        <v>31</v>
      </c>
    </row>
    <row r="34" spans="1:1" x14ac:dyDescent="0.3">
      <c r="A34" s="21" t="s">
        <v>45</v>
      </c>
    </row>
    <row r="35" spans="1:1" ht="15.6" x14ac:dyDescent="0.3">
      <c r="A35" s="22"/>
    </row>
    <row r="36" spans="1:1" ht="15.6" x14ac:dyDescent="0.3">
      <c r="A36" s="22" t="s">
        <v>32</v>
      </c>
    </row>
    <row r="37" spans="1:1" x14ac:dyDescent="0.3">
      <c r="A37" s="23" t="s">
        <v>33</v>
      </c>
    </row>
    <row r="38" spans="1:1" x14ac:dyDescent="0.3">
      <c r="A38" s="21" t="s">
        <v>34</v>
      </c>
    </row>
    <row r="39" spans="1:1" x14ac:dyDescent="0.3">
      <c r="A39" s="21" t="s">
        <v>47</v>
      </c>
    </row>
    <row r="40" spans="1:1" x14ac:dyDescent="0.3">
      <c r="A40" s="21" t="s">
        <v>35</v>
      </c>
    </row>
    <row r="41" spans="1:1" x14ac:dyDescent="0.3">
      <c r="A41" s="21" t="s">
        <v>36</v>
      </c>
    </row>
    <row r="42" spans="1:1" x14ac:dyDescent="0.3">
      <c r="A42" s="21" t="s">
        <v>37</v>
      </c>
    </row>
    <row r="43" spans="1:1" x14ac:dyDescent="0.3">
      <c r="A43" s="23" t="s">
        <v>38</v>
      </c>
    </row>
    <row r="44" spans="1:1" x14ac:dyDescent="0.3">
      <c r="A44" s="21" t="s">
        <v>39</v>
      </c>
    </row>
    <row r="45" spans="1:1" ht="16.2" x14ac:dyDescent="0.3">
      <c r="A45" s="21" t="s">
        <v>40</v>
      </c>
    </row>
    <row r="46" spans="1:1" x14ac:dyDescent="0.3">
      <c r="A46" s="21" t="s">
        <v>41</v>
      </c>
    </row>
    <row r="47" spans="1:1" x14ac:dyDescent="0.3">
      <c r="A47" s="21" t="s">
        <v>42</v>
      </c>
    </row>
    <row r="48" spans="1:1" ht="16.2" x14ac:dyDescent="0.3">
      <c r="A48" s="21" t="s">
        <v>43</v>
      </c>
    </row>
  </sheetData>
  <mergeCells count="1">
    <mergeCell ref="A9:B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Calculator</vt:lpstr>
      <vt:lpstr>Notes and References</vt:lpstr>
      <vt:lpstr>'Notes and References'!_Hlk51174782</vt:lpstr>
    </vt:vector>
  </TitlesOfParts>
  <Company>USACE Office ProPlus Installation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Der Elst, Kelsey E CIV USARMY CENWS (US)</dc:creator>
  <cp:lastModifiedBy>Van Der Elst, Kelsey E CIV USARMY CENWS (US)</cp:lastModifiedBy>
  <dcterms:created xsi:type="dcterms:W3CDTF">2020-09-17T18:07:30Z</dcterms:created>
  <dcterms:modified xsi:type="dcterms:W3CDTF">2021-01-19T22:33:21Z</dcterms:modified>
</cp:coreProperties>
</file>